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<sst xmlns="http://schemas.openxmlformats.org/spreadsheetml/2006/main" count="36" uniqueCount="36">
  <si>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</si>
  <si>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</si>
  <si>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</si>
  <si>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</si>
  <si>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</si>
  <si>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</si>
  <si>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</si>
  <si>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</si>
  <si>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</si>
  <si>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</si>
  <si>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</si>
  <si>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</si>
  <si>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</si>
  <si>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</si>
  <si>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</si>
  <si>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</si>
  <si>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</si>
  <si>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</si>
  <si>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</si>
  <si>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</si>
  <si>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</si>
  <si>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</si>
  <si>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</si>
  <si>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</si>
  <si>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</si>
  <si>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</si>
  <si>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</si>
  <si>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</si>
  <si>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>4497,00 - ремонт трубопровода канализации (ливнеприемник кв. 33).                                                 1714,00 - ремонт трубопровода (кв. 37 подвал работа).</t>
  </si>
  <si>
    <t>1495,00 - установка светильника светодиодного (1 подъезд 1 этаж).</t>
  </si>
  <si>
    <t xml:space="preserve">9219,00 - ремонт кровли (шахта лифта 1 подъезд кв. 36), замена электропроводки.                  </t>
  </si>
  <si>
    <t>16723,00 - ремонт трубопровода ливневой канализации (2 подъезд чердак), замена кранов шаровых (кв. 33,35).</t>
  </si>
  <si>
    <t xml:space="preserve">9999,00 - замена задвижки д-80 (теплоузел 1,2 подъезд).                                                                             </t>
  </si>
  <si>
    <t>Поступления от интернет-провайдеров за 2021 год</t>
  </si>
  <si>
    <t xml:space="preserve">427,00 - замена крана шарового (подвал стояк).  427,00 - замена крана шарового (подвал сброс).                                                                                                                           12600,00 - ремонт стыков стеновых панелей (кв. 87).                                                                                                </t>
  </si>
  <si>
    <t xml:space="preserve">8819,00 - замена общедомового прибора учета электроэнергии Меркурий.                                            4495,00 - замена деревянных перилл.                           1634,00 - прокладка электр. кабеля (кв.36).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</si>
</sst>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/>
    </xf>
    <xf numFmtId="0" fontId="40" fillId="0" borderId="1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C29">
            <v>30300</v>
          </cell>
          <cell r="AD29">
            <v>51392</v>
          </cell>
          <cell r="AE29">
            <v>-417.43999999999505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0</v>
          </cell>
          <cell r="W30">
            <v>1588</v>
          </cell>
          <cell r="Y30">
            <v>1620</v>
          </cell>
          <cell r="Z30">
            <v>1667</v>
          </cell>
          <cell r="AB30">
            <v>78781</v>
          </cell>
          <cell r="AD30">
            <v>83656</v>
          </cell>
          <cell r="AE30">
            <v>77585.23999999999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R34">
            <v>2379</v>
          </cell>
          <cell r="AD34">
            <v>2379</v>
          </cell>
          <cell r="AE34">
            <v>98056.32999999999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AD48">
            <v>2970</v>
          </cell>
          <cell r="AE48">
            <v>150188.74000000002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X49">
            <v>500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68750</v>
          </cell>
          <cell r="AE49">
            <v>330498.82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AA84">
            <v>3383</v>
          </cell>
          <cell r="AB84">
            <v>2975</v>
          </cell>
          <cell r="AD84">
            <v>10572</v>
          </cell>
          <cell r="AE84">
            <v>487469.82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9219</v>
          </cell>
          <cell r="T94">
            <v>14948</v>
          </cell>
          <cell r="U94">
            <v>6211</v>
          </cell>
          <cell r="V94">
            <v>16723</v>
          </cell>
          <cell r="W94">
            <v>56433</v>
          </cell>
          <cell r="X94">
            <v>9999</v>
          </cell>
          <cell r="AA94">
            <v>13454</v>
          </cell>
          <cell r="AB94">
            <v>1495</v>
          </cell>
          <cell r="AD94">
            <v>128482</v>
          </cell>
          <cell r="AE94">
            <v>1101177.8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A95">
            <v>2745</v>
          </cell>
          <cell r="AC95">
            <v>44206</v>
          </cell>
          <cell r="AD95">
            <v>676553</v>
          </cell>
          <cell r="AE95">
            <v>1011370.1599999999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4">
      <selection activeCell="E7" sqref="E7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3">
        <v>2118</v>
      </c>
      <c r="B1" s="21"/>
      <c r="C1" s="21"/>
      <c r="D1" s="21"/>
      <c r="E1" s="21"/>
    </row>
    <row r="2" spans="1:5" ht="41.25" customHeight="1">
      <c r="A2" s="23" t="s">
        <v>26</v>
      </c>
      <c r="B2" s="24"/>
      <c r="C2" s="24"/>
      <c r="D2" s="24"/>
      <c r="E2" s="24"/>
    </row>
    <row r="3" spans="1:5" ht="36.75" customHeight="1">
      <c r="A3" s="22" t="str">
        <f>VLOOKUP(A1,'[1]2021'!$A$1:$AH$99,2,0)</f>
        <v>ул.Черняховского д.50</v>
      </c>
      <c r="B3" s="22"/>
      <c r="C3" s="22"/>
      <c r="D3" s="22"/>
      <c r="E3" s="22"/>
    </row>
    <row r="4" spans="1:5" ht="30.75" customHeight="1">
      <c r="A4" s="26" t="s">
        <v>20</v>
      </c>
      <c r="B4" s="26"/>
      <c r="C4" s="26"/>
      <c r="D4" s="26"/>
      <c r="E4" s="15" t="s">
        <v>18</v>
      </c>
    </row>
    <row r="5" spans="1:5" ht="15.75" customHeight="1">
      <c r="A5" s="27" t="s">
        <v>21</v>
      </c>
      <c r="B5" s="27"/>
      <c r="C5" s="27"/>
      <c r="D5" s="27"/>
      <c r="E5" s="16" t="s">
        <v>22</v>
      </c>
    </row>
    <row r="6" spans="1:5" ht="15" customHeight="1">
      <c r="A6" s="32" t="s">
        <v>17</v>
      </c>
      <c r="B6" s="32"/>
      <c r="C6" s="32"/>
      <c r="D6" s="32"/>
      <c r="E6" s="17">
        <f>VLOOKUP(A1,'[1]2021'!$A$1:$AH$101,3,0)</f>
        <v>9530.2</v>
      </c>
    </row>
    <row r="7" spans="1:5" ht="33" customHeight="1">
      <c r="A7" s="32" t="s">
        <v>27</v>
      </c>
      <c r="B7" s="32"/>
      <c r="C7" s="32"/>
      <c r="D7" s="32"/>
      <c r="E7" s="18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30" t="s">
        <v>24</v>
      </c>
      <c r="B10" s="31"/>
      <c r="C10" s="31"/>
      <c r="D10" s="31"/>
      <c r="E10" s="19">
        <f>VLOOKUP(A1,'[1]2021'!$A$1:$AH$101,4,0)</f>
        <v>923702.67</v>
      </c>
    </row>
    <row r="11" spans="1:5" ht="30.75" customHeight="1">
      <c r="A11" s="3">
        <v>1</v>
      </c>
      <c r="B11" s="10" t="s">
        <v>4</v>
      </c>
      <c r="C11" s="6">
        <f>VLOOKUP(A1,'[1]2021'!$A$1:$AH$101,5,0)</f>
        <v>20042.600000000002</v>
      </c>
      <c r="D11" s="6">
        <f>VLOOKUP(A1,'[1]2021'!$A$1:$AH$101,18,0)</f>
        <v>9219</v>
      </c>
      <c r="E11" s="8" t="s">
        <v>30</v>
      </c>
    </row>
    <row r="12" spans="1:5" ht="15.75" customHeight="1">
      <c r="A12" s="3">
        <v>2</v>
      </c>
      <c r="B12" s="10" t="s">
        <v>5</v>
      </c>
      <c r="C12" s="6">
        <f>VLOOKUP(A1,'[1]2021'!$A$1:$AH$101,6,0)</f>
        <v>26911.7</v>
      </c>
      <c r="D12" s="6">
        <f>VLOOKUP(A1,'[1]2021'!$A$1:$AH$101,19,0)</f>
        <v>0</v>
      </c>
      <c r="E12" s="8"/>
    </row>
    <row r="13" spans="1:5" ht="63">
      <c r="A13" s="3">
        <v>3</v>
      </c>
      <c r="B13" s="10" t="s">
        <v>6</v>
      </c>
      <c r="C13" s="6">
        <f>VLOOKUP(A1,'[1]2021'!$A$1:$AH$101,7,0)</f>
        <v>24575.98</v>
      </c>
      <c r="D13" s="6">
        <f>VLOOKUP(A1,'[1]2021'!$A$1:$AH$101,20,0)</f>
        <v>14948</v>
      </c>
      <c r="E13" s="8" t="s">
        <v>35</v>
      </c>
    </row>
    <row r="14" spans="1:5" ht="63">
      <c r="A14" s="3">
        <v>4</v>
      </c>
      <c r="B14" s="10" t="s">
        <v>7</v>
      </c>
      <c r="C14" s="6">
        <f>VLOOKUP(A1,'[1]2021'!$A$1:$AH$101,8,0)</f>
        <v>23220.5</v>
      </c>
      <c r="D14" s="6">
        <f>VLOOKUP(A1,'[1]2021'!$A$1:$AH$101,21,0)</f>
        <v>6211</v>
      </c>
      <c r="E14" s="8" t="s">
        <v>28</v>
      </c>
    </row>
    <row r="15" spans="1:5" ht="47.25">
      <c r="A15" s="3">
        <v>5</v>
      </c>
      <c r="B15" s="10" t="s">
        <v>8</v>
      </c>
      <c r="C15" s="6">
        <f>VLOOKUP(A1,'[1]2021'!$A$1:$AH$101,9,0)</f>
        <v>27307.08</v>
      </c>
      <c r="D15" s="6">
        <f>VLOOKUP(A1,'[1]2021'!$A$1:$AH$101,22,0)</f>
        <v>16723</v>
      </c>
      <c r="E15" s="8" t="s">
        <v>31</v>
      </c>
    </row>
    <row r="16" spans="1:5" ht="15.75">
      <c r="A16" s="3">
        <v>6</v>
      </c>
      <c r="B16" s="10" t="s">
        <v>9</v>
      </c>
      <c r="C16" s="6">
        <f>VLOOKUP(A1,'[1]2021'!$A$1:$AH$101,10,0)</f>
        <v>26278.28</v>
      </c>
      <c r="D16" s="6">
        <f>VLOOKUP(A1,'[1]2021'!$A$1:$AH$101,23,0)</f>
        <v>56433</v>
      </c>
      <c r="E16" s="8"/>
    </row>
    <row r="17" spans="1:5" ht="31.5">
      <c r="A17" s="3">
        <v>7</v>
      </c>
      <c r="B17" s="20" t="s">
        <v>10</v>
      </c>
      <c r="C17" s="6">
        <f>VLOOKUP(A1,'[1]2021'!$A$1:$AH$101,11,0)</f>
        <v>26160.93</v>
      </c>
      <c r="D17" s="6">
        <f>VLOOKUP(A1,'[1]2021'!$A$1:$AH$101,24,0)</f>
        <v>9999</v>
      </c>
      <c r="E17" s="8" t="s">
        <v>32</v>
      </c>
    </row>
    <row r="18" spans="1:5" ht="15.75">
      <c r="A18" s="3">
        <v>8</v>
      </c>
      <c r="B18" s="4" t="s">
        <v>11</v>
      </c>
      <c r="C18" s="6">
        <f>VLOOKUP(A1,'[1]2021'!$A$1:$AH$101,12,0)</f>
        <v>22259.48</v>
      </c>
      <c r="D18" s="6">
        <f>VLOOKUP(A1,'[1]2021'!$A$1:$AH$102,25,0)</f>
        <v>0</v>
      </c>
      <c r="E18" s="8"/>
    </row>
    <row r="19" spans="1:5" ht="15.75">
      <c r="A19" s="3">
        <v>9</v>
      </c>
      <c r="B19" s="4" t="s">
        <v>12</v>
      </c>
      <c r="C19" s="6">
        <f>VLOOKUP(A1,'[1]2021'!$A$1:$AH$101,13,0)</f>
        <v>26802.09</v>
      </c>
      <c r="D19" s="6">
        <f>VLOOKUP(A1,'[1]2021'!$A$1:$AH$101,26,0)</f>
        <v>0</v>
      </c>
      <c r="E19" s="8"/>
    </row>
    <row r="20" spans="1:5" ht="78.75">
      <c r="A20" s="3">
        <v>10</v>
      </c>
      <c r="B20" s="10" t="s">
        <v>13</v>
      </c>
      <c r="C20" s="6">
        <f>VLOOKUP(A1,'[1]2021'!$A$1:$AH$101,14,0)</f>
        <v>29901.850000000002</v>
      </c>
      <c r="D20" s="6">
        <f>VLOOKUP(A1,'[1]2021'!$A$1:$AH$101,27,0)</f>
        <v>13454</v>
      </c>
      <c r="E20" s="8" t="s">
        <v>34</v>
      </c>
    </row>
    <row r="21" spans="1:5" ht="33.75" customHeight="1">
      <c r="A21" s="3">
        <v>11</v>
      </c>
      <c r="B21" s="10" t="s">
        <v>14</v>
      </c>
      <c r="C21" s="6">
        <f>VLOOKUP(A1,'[1]2021'!$A$1:$AH$101,15,0)</f>
        <v>23989.24</v>
      </c>
      <c r="D21" s="6">
        <f>VLOOKUP(A1,'[1]2021'!$A$1:$AH$101,28,0)</f>
        <v>1495</v>
      </c>
      <c r="E21" s="8" t="s">
        <v>29</v>
      </c>
    </row>
    <row r="22" spans="1:5" ht="15.75">
      <c r="A22" s="3">
        <v>12</v>
      </c>
      <c r="B22" s="10" t="s">
        <v>15</v>
      </c>
      <c r="C22" s="6">
        <f>VLOOKUP(A1,'[1]2021'!$A$1:$AH$101,16,0)</f>
        <v>28507.4</v>
      </c>
      <c r="D22" s="6">
        <f>VLOOKUP(A1,'[1]2021'!$A$1:$AH$101,29,0)</f>
        <v>0</v>
      </c>
      <c r="E22" s="8"/>
    </row>
    <row r="23" spans="1:5" ht="62.25" customHeight="1">
      <c r="A23" s="28" t="s">
        <v>33</v>
      </c>
      <c r="B23" s="29"/>
      <c r="C23" s="6">
        <v>13260</v>
      </c>
      <c r="D23" s="6"/>
      <c r="E23" s="8"/>
    </row>
    <row r="24" spans="1:5" ht="15.75">
      <c r="A24" s="33" t="s">
        <v>16</v>
      </c>
      <c r="B24" s="34"/>
      <c r="C24" s="7">
        <f>SUM(C11:C23)</f>
        <v>319217.13000000006</v>
      </c>
      <c r="D24" s="7">
        <f>SUM(D11:D22)</f>
        <v>128482</v>
      </c>
      <c r="E24" s="9"/>
    </row>
    <row r="25" spans="1:5" ht="15.75">
      <c r="A25" s="30" t="s">
        <v>25</v>
      </c>
      <c r="B25" s="31"/>
      <c r="C25" s="31"/>
      <c r="D25" s="31"/>
      <c r="E25" s="14">
        <f>E10+C24-D24</f>
        <v>1114437.8</v>
      </c>
    </row>
    <row r="29" spans="1:5" ht="18.75">
      <c r="A29" s="25" t="s">
        <v>19</v>
      </c>
      <c r="B29" s="25"/>
      <c r="C29" s="25"/>
      <c r="D29" s="25"/>
      <c r="E29" s="25"/>
    </row>
    <row r="30" spans="1:5" ht="18.75">
      <c r="A30" s="5"/>
      <c r="B30" s="5"/>
      <c r="C30" s="5"/>
      <c r="D30" s="5"/>
      <c r="E30" s="5"/>
    </row>
    <row r="31" spans="1:5" ht="18.75">
      <c r="A31" s="5"/>
      <c r="B31" s="5"/>
      <c r="C31" s="5"/>
      <c r="D31" s="5"/>
      <c r="E31" s="5"/>
    </row>
    <row r="32" spans="1:5" ht="18.75">
      <c r="A32" s="25"/>
      <c r="B32" s="25"/>
      <c r="C32" s="25"/>
      <c r="D32" s="25"/>
      <c r="E32" s="25"/>
    </row>
  </sheetData>
  <sheetProtection/>
  <mergeCells count="13">
    <mergeCell ref="A32:E32"/>
    <mergeCell ref="A10:D10"/>
    <mergeCell ref="A25:D25"/>
    <mergeCell ref="A6:D6"/>
    <mergeCell ref="A24:B24"/>
    <mergeCell ref="A7:D7"/>
    <mergeCell ref="B1:E1"/>
    <mergeCell ref="A3:E3"/>
    <mergeCell ref="A2:E2"/>
    <mergeCell ref="A29:E29"/>
    <mergeCell ref="A4:D4"/>
    <mergeCell ref="A5:D5"/>
    <mergeCell ref="A23:B23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1"/>
      <c r="C5" s="11"/>
      <c r="D5" s="11"/>
      <c r="E5" s="11"/>
      <c r="F5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2022-03-17T12:47:57Z</dcterms:modified>
  <cp:category/>
  <cp:version/>
  <cp:contentType/>
  <cp:contentStatus/>
</cp:coreProperties>
</file>